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13_ncr:1_{ABA1F805-9096-44D4-A093-CA7C8ECA8A9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I37" i="2"/>
  <c r="I28" i="2" s="1"/>
  <c r="R28" i="2" s="1"/>
  <c r="I27" i="2"/>
  <c r="I23" i="2"/>
  <c r="I17" i="2"/>
  <c r="R18" i="2" s="1"/>
  <c r="I13" i="2"/>
  <c r="I14" i="2"/>
  <c r="R12" i="2"/>
  <c r="R13" i="2"/>
  <c r="R14" i="2"/>
  <c r="R15" i="2"/>
  <c r="R16" i="2"/>
  <c r="R17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K85" i="2"/>
  <c r="I18" i="2" l="1"/>
  <c r="I12" i="2"/>
  <c r="R19" i="2" l="1"/>
  <c r="I11" i="2"/>
  <c r="J85" i="2" l="1"/>
  <c r="E30" i="2"/>
  <c r="E29" i="2"/>
  <c r="E37" i="2"/>
  <c r="E31" i="2"/>
  <c r="E27" i="2"/>
  <c r="E26" i="2"/>
  <c r="E25" i="2"/>
  <c r="E21" i="2"/>
  <c r="D85" i="2"/>
  <c r="I26" i="2" l="1"/>
  <c r="H37" i="2" l="1"/>
  <c r="H28" i="2" s="1"/>
  <c r="H27" i="2"/>
  <c r="H25" i="2"/>
  <c r="H24" i="2"/>
  <c r="H19" i="2"/>
  <c r="H18" i="2" s="1"/>
  <c r="H17" i="2"/>
  <c r="H13" i="2"/>
  <c r="G13" i="2" l="1"/>
  <c r="G19" i="2"/>
  <c r="G27" i="2"/>
  <c r="G28" i="2"/>
  <c r="G17" i="2"/>
  <c r="G18" i="2" l="1"/>
  <c r="G12" i="2"/>
  <c r="G11" i="2" l="1"/>
  <c r="G85" i="2"/>
  <c r="F24" i="2" l="1"/>
  <c r="F19" i="2"/>
  <c r="F18" i="2" s="1"/>
  <c r="F17" i="2"/>
  <c r="F13" i="2"/>
  <c r="E55" i="2" l="1"/>
  <c r="E54" i="2" s="1"/>
  <c r="E35" i="2"/>
  <c r="E28" i="2" s="1"/>
  <c r="E24" i="2"/>
  <c r="E23" i="2"/>
  <c r="E20" i="2"/>
  <c r="E19" i="2"/>
  <c r="E14" i="2"/>
  <c r="E12" i="2" s="1"/>
  <c r="E17" i="2"/>
  <c r="E18" i="2" l="1"/>
  <c r="Q12" i="2"/>
  <c r="Q11" i="2" l="1"/>
  <c r="P12" i="2"/>
  <c r="P11" i="2" s="1"/>
  <c r="O12" i="2"/>
  <c r="N12" i="2" l="1"/>
  <c r="O11" i="2" l="1"/>
  <c r="N11" i="2" l="1"/>
  <c r="M12" i="2" l="1"/>
  <c r="M11" i="2" l="1"/>
  <c r="L12" i="2"/>
  <c r="L11" i="2" s="1"/>
  <c r="H12" i="2" l="1"/>
  <c r="R11" i="2"/>
  <c r="F12" i="2"/>
  <c r="F11" i="2" l="1"/>
  <c r="F85" i="2"/>
  <c r="H85" i="2"/>
  <c r="H11" i="2"/>
  <c r="I85" i="2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<sst xmlns="http://schemas.openxmlformats.org/spreadsheetml/2006/main" count="99" uniqueCount="99">
  <si>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</si>
  <si>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</si>
  <si>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</si>
  <si>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</si>
  <si>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</si>
  <si>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</si>
  <si>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</si>
  <si>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</si>
  <si>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</si>
  <si>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</si>
  <si>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</si>
  <si>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</si>
  <si>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</si>
  <si>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</si>
  <si>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</si>
  <si>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</si>
  <si>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</si>
  <si>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</si>
  <si>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</si>
  <si>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</si>
  <si>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</si>
  <si>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</si>
  <si>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</si>
  <si>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</si>
  <si>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</si>
  <si>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</si>
  <si>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</si>
  <si>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</si>
  <si>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</si>
  <si>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</si>
  <si>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</si>
  <si>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</si>
  <si>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</si>
  <si>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</si>
  <si>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</si>
  <si>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</si>
  <si>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</si>
  <si>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</si>
  <si>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</si>
  <si>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</si>
  <si>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</si>
  <si>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</si>
  <si>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</si>
  <si>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</si>
  <si>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</si>
  <si>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</si>
  <si>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</si>
  <si>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</si>
  <si>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</si>
  <si>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</si>
  <si>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</si>
  <si>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</si>
  <si>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</si>
  <si>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</si>
  <si>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</si>
  <si>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</si>
  <si>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</si>
  <si>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</si>
  <si>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</si>
  <si>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</si>
  <si>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</si>
  <si>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</si>
  <si>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</si>
  <si>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</si>
  <si>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</si>
  <si>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</si>
  <si>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</si>
  <si>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</si>
  <si>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</si>
  <si>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</si>
  <si>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</si>
  <si>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</si>
  <si>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</si>
  <si>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</si>
  <si>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</si>
  <si>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</si>
  <si>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</si>
  <si>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</si>
  <si>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</si>
  <si>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</si>
  <si>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</si>
  <si>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</si>
  <si>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</si>
  <si>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</si>
  <si>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</si>
  <si>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</si>
  <si>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</si>
  <si>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</si>
  <si>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</si>
  <si>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</si>
  <si>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</si>
  <si>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</si>
  <si>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</si>
  <si>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</si>
  <si>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</si>
  <si>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2.3.6 - PEODUCTOS METALICOS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</si>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</sst>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43" fontId="6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43" fontId="0" fillId="0" borderId="0" xfId="0" applyNumberFormat="1"/>
    <xf numFmtId="0" fontId="0" fillId="5" borderId="0" xfId="0" applyFill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0" borderId="12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250031</xdr:colOff>
      <xdr:row>0</xdr:row>
      <xdr:rowOff>119062</xdr:rowOff>
    </xdr:from>
    <xdr:to>
      <xdr:col>17</xdr:col>
      <xdr:colOff>821530</xdr:colOff>
      <xdr:row>7</xdr:row>
      <xdr:rowOff>142873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0" y="119062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107156</xdr:colOff>
      <xdr:row>0</xdr:row>
      <xdr:rowOff>0</xdr:rowOff>
    </xdr:from>
    <xdr:to>
      <xdr:col>2</xdr:col>
      <xdr:colOff>1812131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168FC4-5B67-4005-81DF-1026133F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5"/>
  <sheetViews>
    <sheetView showGridLines="0" tabSelected="1" zoomScale="80" zoomScaleNormal="80" workbookViewId="0">
      <selection activeCell="J11" sqref="J11"/>
    </sheetView>
  </sheetViews>
  <sheetFormatPr baseColWidth="10" defaultColWidth="11.42578125" defaultRowHeight="15" x14ac:dyDescent="0.25"/>
  <cols>
    <col min="1" max="1" width="3.7109375" customWidth="1"/>
    <col min="2" max="2" width="4.28515625" customWidth="1"/>
    <col min="3" max="3" width="92.28515625" customWidth="1"/>
    <col min="4" max="4" width="21.140625" hidden="1" customWidth="1"/>
    <col min="5" max="5" width="16.7109375" hidden="1" customWidth="1"/>
    <col min="6" max="8" width="15.5703125" bestFit="1" customWidth="1"/>
    <col min="9" max="9" width="16.85546875" customWidth="1"/>
    <col min="10" max="10" width="16.28515625" customWidth="1"/>
    <col min="11" max="11" width="15.5703125" customWidth="1"/>
    <col min="12" max="12" width="17.5703125" customWidth="1"/>
    <col min="13" max="13" width="15.7109375" bestFit="1" customWidth="1"/>
    <col min="14" max="14" width="15.5703125" bestFit="1" customWidth="1"/>
    <col min="15" max="16" width="15.7109375" bestFit="1" customWidth="1"/>
    <col min="17" max="17" width="20.42578125" bestFit="1" customWidth="1"/>
    <col min="18" max="18" width="16.5703125" customWidth="1"/>
  </cols>
  <sheetData>
    <row r="3" spans="3:19" ht="28.5" customHeight="1" x14ac:dyDescent="0.25"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3:19" ht="21" customHeight="1" x14ac:dyDescent="0.25">
      <c r="C4" s="39" t="s">
        <v>94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3:19" ht="15.75" x14ac:dyDescent="0.25">
      <c r="C5" s="48" t="s">
        <v>96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9" ht="15.75" customHeight="1" x14ac:dyDescent="0.25">
      <c r="C6" s="43" t="s">
        <v>90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3:19" ht="15.75" customHeight="1" x14ac:dyDescent="0.25">
      <c r="C7" s="44" t="s">
        <v>75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9" spans="3:19" ht="25.5" customHeight="1" x14ac:dyDescent="0.25">
      <c r="C9" s="45" t="s">
        <v>65</v>
      </c>
      <c r="D9" s="46" t="s">
        <v>92</v>
      </c>
      <c r="E9" s="46" t="s">
        <v>91</v>
      </c>
      <c r="F9" s="52" t="s">
        <v>89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3:19" x14ac:dyDescent="0.25">
      <c r="C10" s="45"/>
      <c r="D10" s="47"/>
      <c r="E10" s="47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2"/>
      <c r="E11" s="2"/>
      <c r="F11" s="33">
        <f>+F12+F18</f>
        <v>3504253.3</v>
      </c>
      <c r="G11" s="17">
        <f>+G12+G18+G28</f>
        <v>4059913.46</v>
      </c>
      <c r="H11" s="17">
        <f>+H12+H18+H28+H54</f>
        <v>4940032.5799999991</v>
      </c>
      <c r="I11" s="17">
        <f>+I12+I18+I28</f>
        <v>8124580.6900000004</v>
      </c>
      <c r="J11" s="17"/>
      <c r="K11" s="2"/>
      <c r="L11" s="2">
        <f>+L12+L18+L28+L54</f>
        <v>0</v>
      </c>
      <c r="M11" s="2">
        <f>+M12+M18+M28</f>
        <v>0</v>
      </c>
      <c r="N11" s="2">
        <f>+N12+N18+N28+N54</f>
        <v>0</v>
      </c>
      <c r="O11" s="17">
        <f>+O12+O18+O28+O54</f>
        <v>0</v>
      </c>
      <c r="P11" s="17">
        <f>+P12+P18+P28</f>
        <v>0</v>
      </c>
      <c r="Q11" s="17">
        <f>+Q12+Q18+Q28+Q54</f>
        <v>0</v>
      </c>
      <c r="R11" s="17">
        <f>+F11+G11+H11+I11+J11+K11+L11+M11+N11+O11+P11+Q11</f>
        <v>20628780.030000001</v>
      </c>
    </row>
    <row r="12" spans="3:19" s="19" customFormat="1" ht="21.75" customHeight="1" x14ac:dyDescent="0.25">
      <c r="C12" s="18" t="s">
        <v>1</v>
      </c>
      <c r="D12" s="24">
        <v>47442621</v>
      </c>
      <c r="E12" s="24">
        <f>+E13+E14+E15+E16+E17</f>
        <v>49371131</v>
      </c>
      <c r="F12" s="20">
        <f>+F13+F17</f>
        <v>2516668.27</v>
      </c>
      <c r="G12" s="21">
        <f>+G13+G14+G17+G15</f>
        <v>2689631.74</v>
      </c>
      <c r="H12" s="20">
        <f>+H13+H14+H17</f>
        <v>2968874.77</v>
      </c>
      <c r="I12" s="20">
        <f>+I13+I14+I17</f>
        <v>6425322.9699999997</v>
      </c>
      <c r="J12" s="20"/>
      <c r="K12" s="20"/>
      <c r="L12" s="20">
        <f>+L14+L17+L13</f>
        <v>0</v>
      </c>
      <c r="M12" s="23">
        <f>+M13+M14+M17+M15</f>
        <v>0</v>
      </c>
      <c r="N12" s="20">
        <f>+N13+N14+N15+N17</f>
        <v>0</v>
      </c>
      <c r="O12" s="22">
        <f>+O13+O14+O17</f>
        <v>0</v>
      </c>
      <c r="P12" s="22">
        <f>+P13+P14+P17</f>
        <v>0</v>
      </c>
      <c r="Q12" s="22">
        <f>+Q13+Q14+Q17</f>
        <v>0</v>
      </c>
      <c r="R12" s="34">
        <f>+F13+G13+H13+I13+J13+K13+L13+M13+N13+O13+P13+Q13</f>
        <v>10902662.02</v>
      </c>
    </row>
    <row r="13" spans="3:19" x14ac:dyDescent="0.25">
      <c r="C13" s="5" t="s">
        <v>2</v>
      </c>
      <c r="D13" s="25">
        <v>37458856</v>
      </c>
      <c r="E13" s="25">
        <v>38812366</v>
      </c>
      <c r="F13" s="10">
        <f>2000550+55000+125000+20900</f>
        <v>2201450</v>
      </c>
      <c r="G13" s="10">
        <f>2143736.68+55000+125000</f>
        <v>2323736.6800000002</v>
      </c>
      <c r="H13" s="10">
        <f>2352100+125000+125000</f>
        <v>2602100</v>
      </c>
      <c r="I13" s="10">
        <f>2350550+235000+1189825.34</f>
        <v>3775375.34</v>
      </c>
      <c r="J13" s="10"/>
      <c r="K13" s="15"/>
      <c r="L13" s="15"/>
      <c r="M13" s="10"/>
      <c r="N13" s="15"/>
      <c r="O13" s="15"/>
      <c r="P13" s="15"/>
      <c r="Q13" s="15"/>
      <c r="R13" s="34">
        <f>+F14+G14+H14+I14+J14+K14+L14+M14+N14+O14+P14+Q14</f>
        <v>2326191.6799999997</v>
      </c>
    </row>
    <row r="14" spans="3:19" x14ac:dyDescent="0.25">
      <c r="C14" s="5" t="s">
        <v>3</v>
      </c>
      <c r="D14" s="25">
        <v>5903300</v>
      </c>
      <c r="E14" s="25">
        <f>501600+2371600+208350+2621750+500000</f>
        <v>6203300</v>
      </c>
      <c r="F14" s="10">
        <v>20900</v>
      </c>
      <c r="G14" s="13">
        <v>20900</v>
      </c>
      <c r="H14" s="10">
        <v>4180</v>
      </c>
      <c r="I14" s="14">
        <f>2071861.68+208350</f>
        <v>2280211.6799999997</v>
      </c>
      <c r="J14" s="14"/>
      <c r="K14" s="14"/>
      <c r="L14" s="14"/>
      <c r="M14" s="14"/>
      <c r="N14" s="14"/>
      <c r="O14" s="14"/>
      <c r="Q14" s="15"/>
      <c r="R14" s="34">
        <f>+G14+H14+I14+J14+K14+L14+M14+N14+O14+P14+Q14</f>
        <v>2305291.6799999997</v>
      </c>
    </row>
    <row r="15" spans="3:19" x14ac:dyDescent="0.25">
      <c r="C15" s="5" t="s">
        <v>4</v>
      </c>
      <c r="D15" s="27">
        <v>50000</v>
      </c>
      <c r="E15" s="25">
        <v>50000</v>
      </c>
      <c r="F15" s="10"/>
      <c r="G15" s="10">
        <v>6694.4</v>
      </c>
      <c r="H15" s="10"/>
      <c r="I15" s="10"/>
      <c r="M15" s="10"/>
      <c r="N15" s="15"/>
      <c r="O15" s="15"/>
      <c r="R15" s="34">
        <f>+F15+G15+H15+I15+J15+K15+L15+M15+N15+O15+P15+Q15</f>
        <v>6694.4</v>
      </c>
      <c r="S15" s="9"/>
    </row>
    <row r="16" spans="3:19" x14ac:dyDescent="0.25">
      <c r="C16" s="5" t="s">
        <v>5</v>
      </c>
      <c r="D16" s="6"/>
      <c r="E16" s="25">
        <v>275000</v>
      </c>
      <c r="F16" s="10"/>
      <c r="G16" s="10"/>
      <c r="H16" s="10"/>
      <c r="I16" s="10"/>
      <c r="M16" s="10"/>
      <c r="R16" s="34">
        <f>+F16+G16+H16+I16+J16+K16+L16+M16+N16+O16+P16+Q16</f>
        <v>0</v>
      </c>
    </row>
    <row r="17" spans="3:18" x14ac:dyDescent="0.25">
      <c r="C17" s="5" t="s">
        <v>6</v>
      </c>
      <c r="D17" s="6">
        <v>4030465</v>
      </c>
      <c r="E17" s="25">
        <f>1819075+2010677+200713</f>
        <v>4030465</v>
      </c>
      <c r="F17" s="10">
        <f>144001.44+154819.05+16397.78</f>
        <v>315218.27</v>
      </c>
      <c r="G17" s="10">
        <f>156111.99+164985.29+17203.38</f>
        <v>338300.66000000003</v>
      </c>
      <c r="H17" s="10">
        <f>160249.95+184749.1+17595.72</f>
        <v>362594.77</v>
      </c>
      <c r="I17" s="10">
        <f>167724.6+183574.05+18437.3</f>
        <v>369735.95</v>
      </c>
      <c r="J17" s="10"/>
      <c r="K17" s="15"/>
      <c r="L17" s="15"/>
      <c r="M17" s="10"/>
      <c r="N17" s="15"/>
      <c r="O17" s="15"/>
      <c r="Q17" s="15"/>
      <c r="R17" s="34">
        <f t="shared" ref="R17:R27" si="0">+F16+G16+H16+I16+J16+K16+L16+M16+N16+O16+P16+Q16</f>
        <v>0</v>
      </c>
    </row>
    <row r="18" spans="3:18" s="32" customFormat="1" ht="20.25" customHeight="1" x14ac:dyDescent="0.25">
      <c r="C18" s="28" t="s">
        <v>7</v>
      </c>
      <c r="D18" s="29">
        <v>21830699</v>
      </c>
      <c r="E18" s="29">
        <f>+E19+E20+E21+E22+E23+E24+E25+E26+E27</f>
        <v>33245694</v>
      </c>
      <c r="F18" s="30">
        <f>+F19+F20+F21+F22+F23+F24+F25+F26+F27</f>
        <v>987585.03</v>
      </c>
      <c r="G18" s="30">
        <f>+G19+G23+G24+G27+G25+G26</f>
        <v>1263152.22</v>
      </c>
      <c r="H18" s="31">
        <f>+H19+H21+H22+H23+H24+H25+H27</f>
        <v>1818746.7899999998</v>
      </c>
      <c r="I18" s="31">
        <f>+I19+I21+I22+I23+I24+I25+I26+I27</f>
        <v>1483526.6800000002</v>
      </c>
      <c r="J18" s="30"/>
      <c r="K18" s="31"/>
      <c r="L18" s="31"/>
      <c r="M18" s="31"/>
      <c r="N18" s="31"/>
      <c r="O18" s="31"/>
      <c r="P18" s="31"/>
      <c r="Q18" s="31"/>
      <c r="R18" s="34">
        <f t="shared" si="0"/>
        <v>1385849.6500000001</v>
      </c>
    </row>
    <row r="19" spans="3:18" ht="18.75" customHeight="1" x14ac:dyDescent="0.25">
      <c r="C19" s="5" t="s">
        <v>8</v>
      </c>
      <c r="D19" s="25">
        <v>1869200</v>
      </c>
      <c r="E19" s="25">
        <f>900000+50000+60000+840000+6000+13200</f>
        <v>1869200</v>
      </c>
      <c r="F19" s="10">
        <f>75315.97+4703.32+68323.05</f>
        <v>148342.34000000003</v>
      </c>
      <c r="G19" s="10">
        <f>156311.58+4579.6+61749.45+393+1955</f>
        <v>224988.63</v>
      </c>
      <c r="H19" s="10">
        <f>81999.82+4581.32+57367.05+786+952</f>
        <v>145686.19</v>
      </c>
      <c r="I19" s="10">
        <f>77823.9+4703.81+60666.65+393+900</f>
        <v>144487.35999999999</v>
      </c>
      <c r="J19" s="10"/>
      <c r="K19" s="10"/>
      <c r="L19" s="15"/>
      <c r="M19" s="10"/>
      <c r="N19" s="15"/>
      <c r="O19" s="15"/>
      <c r="P19" s="15"/>
      <c r="Q19" s="15"/>
      <c r="R19" s="34">
        <f t="shared" si="0"/>
        <v>5553010.7200000007</v>
      </c>
    </row>
    <row r="20" spans="3:18" x14ac:dyDescent="0.25">
      <c r="C20" s="5" t="s">
        <v>9</v>
      </c>
      <c r="D20" s="25">
        <v>986000</v>
      </c>
      <c r="E20" s="25">
        <f>90000+500000+396000</f>
        <v>986000</v>
      </c>
      <c r="F20" s="10"/>
      <c r="G20" s="10"/>
      <c r="H20" s="10"/>
      <c r="I20" s="10"/>
      <c r="J20" s="10"/>
      <c r="K20" s="10"/>
      <c r="M20" s="10"/>
      <c r="N20" s="15"/>
      <c r="O20" s="15"/>
      <c r="P20" s="15"/>
      <c r="Q20" s="15"/>
      <c r="R20" s="34">
        <f t="shared" si="0"/>
        <v>663504.52</v>
      </c>
    </row>
    <row r="21" spans="3:18" x14ac:dyDescent="0.25">
      <c r="C21" s="5" t="s">
        <v>10</v>
      </c>
      <c r="D21" s="6">
        <v>2286509</v>
      </c>
      <c r="E21" s="25">
        <f>75000+2841404</f>
        <v>2916404</v>
      </c>
      <c r="F21" s="10"/>
      <c r="G21" s="10"/>
      <c r="H21" s="10">
        <v>550793.43999999994</v>
      </c>
      <c r="I21" s="10">
        <v>154536.98000000001</v>
      </c>
      <c r="J21" s="10"/>
      <c r="K21" s="10"/>
      <c r="M21" s="10"/>
      <c r="P21" s="15"/>
      <c r="Q21" s="15"/>
      <c r="R21" s="34">
        <f>+F21+G21+H21+I21+J21+K21+L21+M21+N21+O21+P21+Q21</f>
        <v>705330.41999999993</v>
      </c>
    </row>
    <row r="22" spans="3:18" x14ac:dyDescent="0.25">
      <c r="C22" s="5" t="s">
        <v>11</v>
      </c>
      <c r="D22" s="6">
        <v>1025000</v>
      </c>
      <c r="E22" s="25">
        <v>1271100</v>
      </c>
      <c r="F22" s="10"/>
      <c r="G22" s="10"/>
      <c r="H22" s="10">
        <v>196997</v>
      </c>
      <c r="I22" s="10">
        <v>87169.98</v>
      </c>
      <c r="J22" s="10"/>
      <c r="K22" s="10"/>
      <c r="L22" s="10"/>
      <c r="M22" s="10"/>
      <c r="N22" s="10"/>
      <c r="P22" s="10"/>
      <c r="Q22" s="10"/>
      <c r="R22" s="34">
        <f t="shared" si="0"/>
        <v>705330.41999999993</v>
      </c>
    </row>
    <row r="23" spans="3:18" x14ac:dyDescent="0.25">
      <c r="C23" s="5" t="s">
        <v>12</v>
      </c>
      <c r="D23" s="25">
        <v>6781960</v>
      </c>
      <c r="E23" s="25">
        <f>6456960+90000+325000</f>
        <v>6871960</v>
      </c>
      <c r="F23" s="10">
        <v>536192</v>
      </c>
      <c r="G23" s="10">
        <v>536192</v>
      </c>
      <c r="H23" s="10">
        <v>530528</v>
      </c>
      <c r="I23" s="10">
        <f>523920+53922</f>
        <v>577842</v>
      </c>
      <c r="J23" s="10"/>
      <c r="K23" s="10"/>
      <c r="L23" s="15"/>
      <c r="M23" s="10"/>
      <c r="O23" s="15"/>
      <c r="P23" s="15"/>
      <c r="Q23" s="15"/>
      <c r="R23" s="34">
        <f t="shared" si="0"/>
        <v>284166.98</v>
      </c>
    </row>
    <row r="24" spans="3:18" x14ac:dyDescent="0.25">
      <c r="C24" s="5" t="s">
        <v>13</v>
      </c>
      <c r="D24" s="25">
        <v>3276701</v>
      </c>
      <c r="E24" s="25">
        <f>215000+3061701</f>
        <v>3276701</v>
      </c>
      <c r="F24" s="10">
        <f>78219.07+224831.62</f>
        <v>303050.69</v>
      </c>
      <c r="G24" s="10">
        <v>151281.76999999999</v>
      </c>
      <c r="H24" s="10">
        <f>78219.07+199642.88</f>
        <v>277861.95</v>
      </c>
      <c r="I24" s="10">
        <v>224529.63</v>
      </c>
      <c r="J24" s="10"/>
      <c r="K24" s="10"/>
      <c r="L24" s="10"/>
      <c r="M24" s="10"/>
      <c r="N24" s="10"/>
      <c r="O24" s="10"/>
      <c r="P24" s="15"/>
      <c r="Q24" s="15"/>
      <c r="R24" s="34">
        <f t="shared" si="0"/>
        <v>2180754</v>
      </c>
    </row>
    <row r="25" spans="3:18" x14ac:dyDescent="0.25">
      <c r="C25" s="5" t="s">
        <v>14</v>
      </c>
      <c r="D25" s="25">
        <v>350000</v>
      </c>
      <c r="E25" s="25">
        <f>200000+25000+15000+75000+124000+18000+113000+14000</f>
        <v>584000</v>
      </c>
      <c r="F25" s="10"/>
      <c r="G25" s="10">
        <v>37138.379999999997</v>
      </c>
      <c r="H25" s="10">
        <f>13806+27737.06</f>
        <v>41543.06</v>
      </c>
      <c r="I25" s="10">
        <v>95117.63</v>
      </c>
      <c r="J25" s="10"/>
      <c r="K25" s="10"/>
      <c r="L25" s="15"/>
      <c r="M25" s="10"/>
      <c r="N25" s="10"/>
      <c r="O25" s="10"/>
      <c r="P25" s="15"/>
      <c r="Q25" s="15"/>
      <c r="R25" s="34">
        <f t="shared" si="0"/>
        <v>956724.03999999992</v>
      </c>
    </row>
    <row r="26" spans="3:18" x14ac:dyDescent="0.25">
      <c r="C26" s="5" t="s">
        <v>15</v>
      </c>
      <c r="D26" s="25">
        <v>2972000</v>
      </c>
      <c r="E26" s="25">
        <f>6000+64000+10000+350000+170000+500000+8837000</f>
        <v>9937000</v>
      </c>
      <c r="F26" s="10"/>
      <c r="G26" s="10">
        <v>14700</v>
      </c>
      <c r="H26" s="10"/>
      <c r="I26" s="10">
        <f>986.37+250+76700+18000</f>
        <v>95936.37</v>
      </c>
      <c r="J26" s="10"/>
      <c r="K26" s="10"/>
      <c r="L26" s="15"/>
      <c r="M26" s="10"/>
      <c r="N26" s="10"/>
      <c r="O26" s="15"/>
      <c r="P26" s="15"/>
      <c r="Q26" s="15"/>
      <c r="R26" s="34">
        <f t="shared" si="0"/>
        <v>173799.07</v>
      </c>
    </row>
    <row r="27" spans="3:18" ht="15.75" customHeight="1" x14ac:dyDescent="0.25">
      <c r="C27" s="5" t="s">
        <v>16</v>
      </c>
      <c r="D27" s="25">
        <v>2283329</v>
      </c>
      <c r="E27" s="25">
        <f>279000+5254329</f>
        <v>5533329</v>
      </c>
      <c r="F27" s="10"/>
      <c r="G27" s="10">
        <f>69475+229376.44</f>
        <v>298851.44</v>
      </c>
      <c r="H27" s="10">
        <f>47230.73+28106.42</f>
        <v>75337.149999999994</v>
      </c>
      <c r="I27" s="10">
        <f>4969.28+98937.45</f>
        <v>103906.73</v>
      </c>
      <c r="J27" s="10"/>
      <c r="K27" s="10"/>
      <c r="L27" s="15"/>
      <c r="M27" s="10"/>
      <c r="N27" s="10"/>
      <c r="O27" s="15"/>
      <c r="P27" s="15"/>
      <c r="Q27" s="15"/>
      <c r="R27" s="34">
        <f t="shared" si="0"/>
        <v>110636.37</v>
      </c>
    </row>
    <row r="28" spans="3:18" s="19" customFormat="1" ht="29.25" customHeight="1" x14ac:dyDescent="0.25">
      <c r="C28" s="18" t="s">
        <v>17</v>
      </c>
      <c r="D28" s="24">
        <v>3328059</v>
      </c>
      <c r="E28" s="24">
        <f>+E29+E30+E31+E32+E33+E35+E37+E34</f>
        <v>3689059</v>
      </c>
      <c r="G28" s="20">
        <f>+G37</f>
        <v>107129.5</v>
      </c>
      <c r="H28" s="20">
        <f>+H29+H30+H37</f>
        <v>38493.019999999997</v>
      </c>
      <c r="I28" s="20">
        <f>+I30+I33+I37+I29+I35</f>
        <v>215731.03999999998</v>
      </c>
      <c r="J28" s="21"/>
      <c r="K28" s="20"/>
      <c r="L28" s="20"/>
      <c r="M28" s="20"/>
      <c r="N28" s="20"/>
      <c r="O28" s="22"/>
      <c r="P28" s="20"/>
      <c r="Q28" s="22"/>
      <c r="R28" s="34">
        <f t="shared" ref="R28:R40" si="1">+F28+G28+H28+I28+J28+K28+L28+M28+N28+O28+P28+Q28</f>
        <v>361353.55999999994</v>
      </c>
    </row>
    <row r="29" spans="3:18" x14ac:dyDescent="0.25">
      <c r="C29" s="5" t="s">
        <v>18</v>
      </c>
      <c r="D29" s="6">
        <v>193500</v>
      </c>
      <c r="E29" s="25">
        <f>147500+60000</f>
        <v>207500</v>
      </c>
      <c r="G29" s="10"/>
      <c r="H29" s="10">
        <v>22400.01</v>
      </c>
      <c r="I29" s="10">
        <v>103688.54</v>
      </c>
      <c r="J29" s="10"/>
      <c r="K29" s="10"/>
      <c r="L29" s="15"/>
      <c r="M29" s="10"/>
      <c r="N29" s="10"/>
      <c r="P29" s="15"/>
      <c r="Q29" s="15"/>
      <c r="R29" s="34">
        <f t="shared" si="1"/>
        <v>126088.54999999999</v>
      </c>
    </row>
    <row r="30" spans="3:18" x14ac:dyDescent="0.25">
      <c r="C30" s="5" t="s">
        <v>19</v>
      </c>
      <c r="D30" s="25">
        <v>130000</v>
      </c>
      <c r="E30" s="25">
        <f>118000+24000</f>
        <v>142000</v>
      </c>
      <c r="G30" s="10"/>
      <c r="H30" s="10">
        <v>11505</v>
      </c>
      <c r="I30" s="10">
        <v>15930</v>
      </c>
      <c r="K30" s="10"/>
      <c r="N30" s="15"/>
      <c r="P30" s="15"/>
      <c r="Q30" s="15"/>
      <c r="R30" s="34">
        <f t="shared" si="1"/>
        <v>27435</v>
      </c>
    </row>
    <row r="31" spans="3:18" x14ac:dyDescent="0.25">
      <c r="C31" s="5" t="s">
        <v>20</v>
      </c>
      <c r="D31" s="25">
        <v>421550</v>
      </c>
      <c r="E31" s="25">
        <f>90800+67350+215400+18000</f>
        <v>391550</v>
      </c>
      <c r="G31" s="10"/>
      <c r="H31" s="10"/>
      <c r="I31" s="10"/>
      <c r="J31" s="10"/>
      <c r="K31" s="10"/>
      <c r="L31" s="15"/>
      <c r="N31" s="15"/>
      <c r="Q31" s="15"/>
      <c r="R31" s="34">
        <f t="shared" si="1"/>
        <v>0</v>
      </c>
    </row>
    <row r="32" spans="3:18" x14ac:dyDescent="0.25">
      <c r="C32" s="5" t="s">
        <v>21</v>
      </c>
      <c r="D32" s="6">
        <v>6000</v>
      </c>
      <c r="E32" s="25">
        <v>6000</v>
      </c>
      <c r="G32" s="10"/>
      <c r="H32" s="10"/>
      <c r="I32" s="10"/>
      <c r="K32" s="10"/>
      <c r="N32" s="15"/>
      <c r="R32" s="34">
        <f t="shared" si="1"/>
        <v>0</v>
      </c>
    </row>
    <row r="33" spans="3:18" x14ac:dyDescent="0.25">
      <c r="C33" s="5" t="s">
        <v>22</v>
      </c>
      <c r="D33" s="25">
        <v>26900</v>
      </c>
      <c r="E33" s="25">
        <v>51900</v>
      </c>
      <c r="G33" s="10"/>
      <c r="H33" s="10"/>
      <c r="I33" s="10">
        <v>47055</v>
      </c>
      <c r="J33" s="10"/>
      <c r="K33" s="10"/>
      <c r="M33" s="10"/>
      <c r="N33" s="10"/>
      <c r="Q33" s="15"/>
      <c r="R33" s="34">
        <f t="shared" si="1"/>
        <v>47055</v>
      </c>
    </row>
    <row r="34" spans="3:18" ht="17.25" customHeight="1" x14ac:dyDescent="0.25">
      <c r="C34" s="5" t="s">
        <v>95</v>
      </c>
      <c r="D34" s="6"/>
      <c r="E34" s="6">
        <v>5000</v>
      </c>
      <c r="G34" s="10"/>
      <c r="H34" s="10"/>
      <c r="I34" s="10"/>
      <c r="J34" s="10"/>
      <c r="K34" s="10"/>
      <c r="L34" s="15"/>
      <c r="M34" s="10"/>
      <c r="N34" s="15"/>
      <c r="P34" s="15"/>
      <c r="R34" s="34">
        <f t="shared" si="1"/>
        <v>0</v>
      </c>
    </row>
    <row r="35" spans="3:18" x14ac:dyDescent="0.25">
      <c r="C35" s="5" t="s">
        <v>23</v>
      </c>
      <c r="D35" s="25">
        <v>1860000</v>
      </c>
      <c r="E35" s="25">
        <f>1975000+40000+25000</f>
        <v>2040000</v>
      </c>
      <c r="G35" s="10"/>
      <c r="H35" s="10"/>
      <c r="I35" s="10">
        <v>4262</v>
      </c>
      <c r="J35" s="10"/>
      <c r="K35" s="10"/>
      <c r="L35" s="10"/>
      <c r="M35" s="10"/>
      <c r="N35" s="15"/>
      <c r="O35" s="10"/>
      <c r="P35" s="10"/>
      <c r="Q35" s="10"/>
      <c r="R35" s="34">
        <f t="shared" si="1"/>
        <v>4262</v>
      </c>
    </row>
    <row r="36" spans="3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34">
        <f t="shared" si="1"/>
        <v>0</v>
      </c>
    </row>
    <row r="37" spans="3:18" x14ac:dyDescent="0.25">
      <c r="C37" s="5" t="s">
        <v>25</v>
      </c>
      <c r="D37" s="25">
        <v>690109</v>
      </c>
      <c r="E37" s="25">
        <f>74650+95459+15000+150000+500000+10000</f>
        <v>845109</v>
      </c>
      <c r="G37" s="15">
        <v>107129.5</v>
      </c>
      <c r="H37" s="10">
        <f>1520.01+3068</f>
        <v>4588.01</v>
      </c>
      <c r="I37" s="10">
        <f>44287.5+508</f>
        <v>44795.5</v>
      </c>
      <c r="J37" s="10"/>
      <c r="K37" s="10"/>
      <c r="L37" s="15"/>
      <c r="M37" s="15"/>
      <c r="N37" s="15"/>
      <c r="O37" s="15"/>
      <c r="P37" s="15"/>
      <c r="Q37" s="15"/>
      <c r="R37" s="34">
        <f t="shared" si="1"/>
        <v>156513.01</v>
      </c>
    </row>
    <row r="38" spans="3:18" hidden="1" x14ac:dyDescent="0.25">
      <c r="C38" s="3" t="s">
        <v>26</v>
      </c>
      <c r="D38" s="4"/>
      <c r="E38" s="4"/>
      <c r="K38" s="10"/>
      <c r="R38" s="34">
        <f t="shared" si="1"/>
        <v>0</v>
      </c>
    </row>
    <row r="39" spans="3:18" hidden="1" x14ac:dyDescent="0.25">
      <c r="C39" s="5" t="s">
        <v>27</v>
      </c>
      <c r="D39" s="6"/>
      <c r="E39" s="6"/>
      <c r="R39" s="34">
        <f t="shared" si="1"/>
        <v>0</v>
      </c>
    </row>
    <row r="40" spans="3:18" hidden="1" x14ac:dyDescent="0.25">
      <c r="C40" s="5" t="s">
        <v>28</v>
      </c>
      <c r="D40" s="6"/>
      <c r="E40" s="6"/>
      <c r="R40" s="34">
        <f t="shared" si="1"/>
        <v>0</v>
      </c>
    </row>
    <row r="41" spans="3:18" hidden="1" x14ac:dyDescent="0.25">
      <c r="C41" s="5" t="s">
        <v>29</v>
      </c>
      <c r="D41" s="6"/>
      <c r="E41" s="6"/>
      <c r="R41" s="34">
        <f>+G41+H41+I41+J41+K41+L41+M41+N41+O41+P41+Q41</f>
        <v>0</v>
      </c>
    </row>
    <row r="42" spans="3:18" hidden="1" x14ac:dyDescent="0.25">
      <c r="C42" s="5" t="s">
        <v>30</v>
      </c>
      <c r="D42" s="6"/>
      <c r="E42" s="6"/>
      <c r="R42" s="34">
        <f t="shared" ref="R42:R61" si="2">+F42+G42+H42+I42+J42+K42+L42+M42+N42+O42+P42+Q42</f>
        <v>0</v>
      </c>
    </row>
    <row r="43" spans="3:18" hidden="1" x14ac:dyDescent="0.25">
      <c r="C43" s="5" t="s">
        <v>31</v>
      </c>
      <c r="D43" s="6"/>
      <c r="E43" s="6"/>
      <c r="R43" s="34">
        <f t="shared" si="2"/>
        <v>0</v>
      </c>
    </row>
    <row r="44" spans="3:18" hidden="1" x14ac:dyDescent="0.25">
      <c r="C44" s="5" t="s">
        <v>32</v>
      </c>
      <c r="D44" s="6"/>
      <c r="E44" s="6"/>
      <c r="R44" s="34">
        <f t="shared" si="2"/>
        <v>0</v>
      </c>
    </row>
    <row r="45" spans="3:18" hidden="1" x14ac:dyDescent="0.25">
      <c r="C45" s="5" t="s">
        <v>33</v>
      </c>
      <c r="D45" s="6"/>
      <c r="E45" s="6"/>
      <c r="R45" s="34">
        <f t="shared" si="2"/>
        <v>0</v>
      </c>
    </row>
    <row r="46" spans="3:18" hidden="1" x14ac:dyDescent="0.25">
      <c r="C46" s="5" t="s">
        <v>34</v>
      </c>
      <c r="D46" s="6"/>
      <c r="E46" s="6"/>
      <c r="R46" s="34">
        <f t="shared" si="2"/>
        <v>0</v>
      </c>
    </row>
    <row r="47" spans="3:18" hidden="1" x14ac:dyDescent="0.25">
      <c r="C47" s="3" t="s">
        <v>35</v>
      </c>
      <c r="D47" s="4"/>
      <c r="E47" s="4"/>
      <c r="R47" s="34">
        <f t="shared" si="2"/>
        <v>0</v>
      </c>
    </row>
    <row r="48" spans="3:18" hidden="1" x14ac:dyDescent="0.25">
      <c r="C48" s="5" t="s">
        <v>36</v>
      </c>
      <c r="D48" s="6"/>
      <c r="E48" s="6"/>
      <c r="R48" s="34">
        <f t="shared" si="2"/>
        <v>0</v>
      </c>
    </row>
    <row r="49" spans="3:18" hidden="1" x14ac:dyDescent="0.25">
      <c r="C49" s="5" t="s">
        <v>37</v>
      </c>
      <c r="D49" s="6"/>
      <c r="E49" s="6"/>
      <c r="R49" s="34">
        <f t="shared" si="2"/>
        <v>0</v>
      </c>
    </row>
    <row r="50" spans="3:18" hidden="1" x14ac:dyDescent="0.25">
      <c r="C50" s="5" t="s">
        <v>38</v>
      </c>
      <c r="D50" s="6"/>
      <c r="E50" s="6"/>
      <c r="R50" s="34">
        <f t="shared" si="2"/>
        <v>0</v>
      </c>
    </row>
    <row r="51" spans="3:18" hidden="1" x14ac:dyDescent="0.25">
      <c r="C51" s="5" t="s">
        <v>39</v>
      </c>
      <c r="D51" s="6"/>
      <c r="E51" s="6"/>
      <c r="R51" s="34">
        <f t="shared" si="2"/>
        <v>0</v>
      </c>
    </row>
    <row r="52" spans="3:18" hidden="1" x14ac:dyDescent="0.25">
      <c r="C52" s="5" t="s">
        <v>40</v>
      </c>
      <c r="D52" s="6"/>
      <c r="E52" s="6"/>
      <c r="R52" s="34">
        <f t="shared" si="2"/>
        <v>0</v>
      </c>
    </row>
    <row r="53" spans="3:18" ht="3" customHeight="1" x14ac:dyDescent="0.25">
      <c r="C53" s="5" t="s">
        <v>41</v>
      </c>
      <c r="D53" s="6"/>
      <c r="E53" s="6"/>
      <c r="R53" s="34">
        <f t="shared" si="2"/>
        <v>0</v>
      </c>
    </row>
    <row r="54" spans="3:18" ht="17.25" customHeight="1" x14ac:dyDescent="0.25">
      <c r="C54" s="3" t="s">
        <v>42</v>
      </c>
      <c r="D54" s="26">
        <v>100000</v>
      </c>
      <c r="E54" s="26">
        <f>+E55+E59</f>
        <v>200000</v>
      </c>
      <c r="H54" s="16">
        <v>113918</v>
      </c>
      <c r="J54" s="12"/>
      <c r="K54" s="11"/>
      <c r="L54" s="11"/>
      <c r="N54" s="16"/>
      <c r="O54" s="15"/>
      <c r="Q54" s="16"/>
      <c r="R54" s="34">
        <f t="shared" si="2"/>
        <v>113918</v>
      </c>
    </row>
    <row r="55" spans="3:18" x14ac:dyDescent="0.25">
      <c r="C55" s="5" t="s">
        <v>43</v>
      </c>
      <c r="D55" s="25">
        <v>100000</v>
      </c>
      <c r="E55" s="25">
        <f>150000+50000</f>
        <v>200000</v>
      </c>
      <c r="H55" s="15">
        <v>113918</v>
      </c>
      <c r="J55" s="10"/>
      <c r="N55" s="15"/>
      <c r="O55" s="15"/>
      <c r="Q55" s="15"/>
      <c r="R55" s="34">
        <f t="shared" si="2"/>
        <v>113918</v>
      </c>
    </row>
    <row r="56" spans="3:18" hidden="1" x14ac:dyDescent="0.25">
      <c r="C56" s="5" t="s">
        <v>44</v>
      </c>
      <c r="D56" s="6"/>
      <c r="E56" s="6"/>
      <c r="Q56" s="15"/>
      <c r="R56" s="34">
        <f t="shared" si="2"/>
        <v>0</v>
      </c>
    </row>
    <row r="57" spans="3:18" hidden="1" x14ac:dyDescent="0.25">
      <c r="C57" s="5" t="s">
        <v>45</v>
      </c>
      <c r="D57" s="6"/>
      <c r="E57" s="6"/>
      <c r="R57" s="34">
        <f t="shared" si="2"/>
        <v>0</v>
      </c>
    </row>
    <row r="58" spans="3:18" hidden="1" x14ac:dyDescent="0.25">
      <c r="C58" s="5" t="s">
        <v>46</v>
      </c>
      <c r="D58" s="6"/>
      <c r="E58" s="6"/>
      <c r="R58" s="34">
        <f t="shared" si="2"/>
        <v>0</v>
      </c>
    </row>
    <row r="59" spans="3:18" x14ac:dyDescent="0.25">
      <c r="C59" s="5" t="s">
        <v>47</v>
      </c>
      <c r="D59" s="25"/>
      <c r="E59" s="25"/>
      <c r="R59" s="34">
        <f t="shared" si="2"/>
        <v>0</v>
      </c>
    </row>
    <row r="60" spans="3:18" x14ac:dyDescent="0.25">
      <c r="C60" s="5" t="s">
        <v>48</v>
      </c>
      <c r="D60" s="6"/>
      <c r="E60" s="6"/>
      <c r="R60" s="34">
        <f t="shared" si="2"/>
        <v>0</v>
      </c>
    </row>
    <row r="61" spans="3:18" x14ac:dyDescent="0.25">
      <c r="C61" s="5" t="s">
        <v>49</v>
      </c>
      <c r="D61" s="6"/>
      <c r="E61" s="6"/>
      <c r="R61" s="34">
        <f t="shared" si="2"/>
        <v>0</v>
      </c>
    </row>
    <row r="62" spans="3:18" x14ac:dyDescent="0.25">
      <c r="C62" s="5" t="s">
        <v>50</v>
      </c>
      <c r="D62" s="6"/>
      <c r="E62" s="6"/>
      <c r="R62" s="34">
        <f>++F62+G62+H62+I62+J62+K62+L62+M62+N62+O62+P62+Q62</f>
        <v>0</v>
      </c>
    </row>
    <row r="63" spans="3:18" ht="15" customHeight="1" x14ac:dyDescent="0.25">
      <c r="C63" s="5" t="s">
        <v>51</v>
      </c>
      <c r="D63" s="6"/>
      <c r="E63" s="6"/>
      <c r="R63" s="34">
        <f>+F63+G63+H63+I63+J63+K63+L63+M63+N63+O63+P63+Q63</f>
        <v>0</v>
      </c>
    </row>
    <row r="64" spans="3:18" ht="24.75" customHeight="1" x14ac:dyDescent="0.25">
      <c r="C64" s="3" t="s">
        <v>52</v>
      </c>
      <c r="D64" s="4"/>
      <c r="E64" s="4"/>
      <c r="R64" s="34">
        <f>+F64+G64+H64+I64+J64+K64+L64+M64+N64+O64+P64+Q64</f>
        <v>0</v>
      </c>
    </row>
    <row r="65" spans="3:18" x14ac:dyDescent="0.25">
      <c r="C65" s="5" t="s">
        <v>53</v>
      </c>
      <c r="D65" s="6"/>
      <c r="E65" s="6"/>
      <c r="R65" s="34">
        <f>+F65+G65+H65+I65+J65+K65+L65+M65+N65+O65+P65+Q65</f>
        <v>0</v>
      </c>
    </row>
    <row r="66" spans="3:18" x14ac:dyDescent="0.25">
      <c r="C66" s="5" t="s">
        <v>54</v>
      </c>
      <c r="D66" s="6"/>
      <c r="E66" s="6"/>
      <c r="R66" s="34">
        <f>+F66+G66+H66+I66+J66+K66+L66+M66+N66+O66+P66+Q66</f>
        <v>0</v>
      </c>
    </row>
    <row r="67" spans="3:18" x14ac:dyDescent="0.25">
      <c r="C67" s="5" t="s">
        <v>55</v>
      </c>
      <c r="D67" s="6"/>
      <c r="E67" s="6"/>
      <c r="R67" s="34">
        <f>+F67+G67+H67+I67+J67+K67+L67+M67++N67+O67+P67+Q67</f>
        <v>0</v>
      </c>
    </row>
    <row r="68" spans="3:18" x14ac:dyDescent="0.25">
      <c r="C68" s="5" t="s">
        <v>56</v>
      </c>
      <c r="D68" s="6"/>
      <c r="E68" s="6"/>
      <c r="R68" s="34">
        <f>+F68+G68+H68+I68+J68+K68++L68+M68+N68+O68+P68+Q68</f>
        <v>0</v>
      </c>
    </row>
    <row r="69" spans="3:18" x14ac:dyDescent="0.25">
      <c r="C69" s="3" t="s">
        <v>57</v>
      </c>
      <c r="D69" s="4"/>
      <c r="E69" s="4"/>
      <c r="R69" s="34">
        <f t="shared" ref="R69:R74" si="3">+F69+G69+H69+I69+J69+K69+L69+M69+N69+O69+P69+Q69</f>
        <v>0</v>
      </c>
    </row>
    <row r="70" spans="3:18" x14ac:dyDescent="0.25">
      <c r="C70" s="5" t="s">
        <v>58</v>
      </c>
      <c r="D70" s="6"/>
      <c r="E70" s="6"/>
      <c r="R70" s="34">
        <f t="shared" si="3"/>
        <v>0</v>
      </c>
    </row>
    <row r="71" spans="3:18" x14ac:dyDescent="0.25">
      <c r="C71" s="5" t="s">
        <v>59</v>
      </c>
      <c r="D71" s="6"/>
      <c r="E71" s="6"/>
      <c r="R71">
        <f t="shared" si="3"/>
        <v>0</v>
      </c>
    </row>
    <row r="72" spans="3:18" x14ac:dyDescent="0.25">
      <c r="C72" s="3" t="s">
        <v>60</v>
      </c>
      <c r="D72" s="4"/>
      <c r="E72" s="4"/>
      <c r="R72">
        <f t="shared" si="3"/>
        <v>0</v>
      </c>
    </row>
    <row r="73" spans="3:18" x14ac:dyDescent="0.25">
      <c r="C73" s="5" t="s">
        <v>61</v>
      </c>
      <c r="D73" s="6"/>
      <c r="E73" s="6"/>
      <c r="R73" s="34">
        <f t="shared" si="3"/>
        <v>0</v>
      </c>
    </row>
    <row r="74" spans="3:18" x14ac:dyDescent="0.25">
      <c r="C74" s="5" t="s">
        <v>62</v>
      </c>
      <c r="D74" s="6"/>
      <c r="E74" s="6"/>
      <c r="R74" s="34">
        <f t="shared" si="3"/>
        <v>0</v>
      </c>
    </row>
    <row r="75" spans="3:18" x14ac:dyDescent="0.25">
      <c r="C75" s="5" t="s">
        <v>63</v>
      </c>
      <c r="D75" s="6"/>
      <c r="E75" s="6"/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3:18" x14ac:dyDescent="0.25">
      <c r="C77" s="3" t="s">
        <v>67</v>
      </c>
      <c r="D77" s="4"/>
      <c r="E77" s="4"/>
    </row>
    <row r="78" spans="3:18" x14ac:dyDescent="0.25">
      <c r="C78" s="5" t="s">
        <v>68</v>
      </c>
      <c r="D78" s="6"/>
      <c r="E78" s="6"/>
    </row>
    <row r="79" spans="3:18" x14ac:dyDescent="0.25">
      <c r="C79" s="5" t="s">
        <v>69</v>
      </c>
      <c r="D79" s="6"/>
      <c r="E79" s="6"/>
    </row>
    <row r="80" spans="3:18" x14ac:dyDescent="0.25">
      <c r="C80" s="3" t="s">
        <v>70</v>
      </c>
      <c r="D80" s="4"/>
      <c r="E80" s="4"/>
    </row>
    <row r="81" spans="3:18" x14ac:dyDescent="0.25">
      <c r="C81" s="5" t="s">
        <v>71</v>
      </c>
      <c r="D81" s="6"/>
      <c r="E81" s="6"/>
    </row>
    <row r="82" spans="3:18" x14ac:dyDescent="0.25">
      <c r="C82" s="5" t="s">
        <v>72</v>
      </c>
      <c r="D82" s="6"/>
      <c r="E82" s="6"/>
    </row>
    <row r="83" spans="3:18" x14ac:dyDescent="0.25">
      <c r="C83" s="3" t="s">
        <v>73</v>
      </c>
      <c r="D83" s="4"/>
      <c r="E83" s="4"/>
    </row>
    <row r="84" spans="3:18" x14ac:dyDescent="0.25">
      <c r="C84" s="5" t="s">
        <v>74</v>
      </c>
      <c r="D84" s="6"/>
      <c r="E84" s="6"/>
    </row>
    <row r="85" spans="3:18" s="19" customFormat="1" ht="22.5" customHeight="1" x14ac:dyDescent="0.25">
      <c r="C85" s="36" t="s">
        <v>64</v>
      </c>
      <c r="D85" s="37">
        <f>+D54+D28+D18+D12</f>
        <v>72701379</v>
      </c>
      <c r="E85" s="38"/>
      <c r="F85" s="37">
        <f>+F12+F18</f>
        <v>3504253.3</v>
      </c>
      <c r="G85" s="37">
        <f>+G12+G18+G28</f>
        <v>4059913.46</v>
      </c>
      <c r="H85" s="37">
        <f>+H12+H18+H28+H54</f>
        <v>4940032.5799999991</v>
      </c>
      <c r="I85" s="37">
        <f>+I12+I18+I28</f>
        <v>8124580.6900000004</v>
      </c>
      <c r="J85" s="37">
        <f>+J54+J28+J18+J12</f>
        <v>0</v>
      </c>
      <c r="K85" s="37">
        <f>+K54+K28+K18+K12</f>
        <v>0</v>
      </c>
      <c r="L85" s="38"/>
      <c r="M85" s="38"/>
      <c r="N85" s="38"/>
      <c r="O85" s="38"/>
      <c r="P85" s="38"/>
      <c r="Q85" s="38"/>
      <c r="R85" s="35"/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50" t="s">
        <v>97</v>
      </c>
      <c r="I94" s="50"/>
      <c r="J94" s="50"/>
      <c r="K94" s="50"/>
    </row>
    <row r="95" spans="3:18" x14ac:dyDescent="0.25">
      <c r="H95" s="51" t="s">
        <v>98</v>
      </c>
      <c r="I95" s="51"/>
      <c r="J95" s="51"/>
      <c r="K95" s="51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2023-03-03T16:29:24Z</cp:lastPrinted>
  <dcterms:created xsi:type="dcterms:W3CDTF">2021-07-29T18:58:50Z</dcterms:created>
  <dcterms:modified xsi:type="dcterms:W3CDTF">2023-07-17T17:17:16Z</dcterms:modified>
</cp:coreProperties>
</file>